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908"/>
  <workbookPr/>
  <mc:AlternateContent xmlns:mc="http://schemas.openxmlformats.org/markup-compatibility/2006">
    <mc:Choice Requires="x15">
      <x15ac:absPath xmlns:x15ac="http://schemas.microsoft.com/office/spreadsheetml/2010/11/ac" url="/Users/andreasbitzarakis/Desktop/"/>
    </mc:Choice>
  </mc:AlternateContent>
  <bookViews>
    <workbookView xWindow="0" yWindow="460" windowWidth="28800" windowHeight="16340"/>
  </bookViews>
  <sheets>
    <sheet name="&lt;&lt;Offeror&gt;&gt;" sheetId="2" r:id="rId1"/>
  </sheets>
  <definedNames>
    <definedName name="_xlnm.Print_Area" localSheetId="0">'&lt;&lt;Offeror&gt;&gt;'!$A$1:$N$51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2" l="1"/>
  <c r="E7" i="2"/>
  <c r="E13" i="2"/>
  <c r="E14" i="2"/>
  <c r="F14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K29" i="2"/>
  <c r="K30" i="2"/>
  <c r="K31" i="2"/>
  <c r="K32" i="2"/>
  <c r="F13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E24" i="2"/>
  <c r="F23" i="2"/>
  <c r="E25" i="2"/>
  <c r="F24" i="2"/>
  <c r="E26" i="2"/>
  <c r="F25" i="2"/>
  <c r="E27" i="2"/>
  <c r="F26" i="2"/>
  <c r="E28" i="2"/>
  <c r="F27" i="2"/>
  <c r="E29" i="2"/>
  <c r="F28" i="2"/>
  <c r="E30" i="2"/>
  <c r="F29" i="2"/>
  <c r="E31" i="2"/>
  <c r="F30" i="2"/>
  <c r="E32" i="2"/>
  <c r="F31" i="2"/>
  <c r="E33" i="2"/>
  <c r="F32" i="2"/>
  <c r="E34" i="2"/>
  <c r="F33" i="2"/>
  <c r="F34" i="2"/>
  <c r="E35" i="2"/>
  <c r="E36" i="2"/>
  <c r="F35" i="2"/>
  <c r="E37" i="2"/>
  <c r="F36" i="2"/>
  <c r="F37" i="2"/>
  <c r="E38" i="2"/>
  <c r="F38" i="2"/>
  <c r="E39" i="2"/>
  <c r="E40" i="2"/>
  <c r="F39" i="2"/>
  <c r="E41" i="2"/>
  <c r="F40" i="2"/>
  <c r="E42" i="2"/>
  <c r="F42" i="2"/>
  <c r="F41" i="2"/>
  <c r="F43" i="2"/>
  <c r="F44" i="2"/>
  <c r="J13" i="2"/>
  <c r="J12" i="2"/>
  <c r="I6" i="2"/>
  <c r="I31" i="2"/>
  <c r="I32" i="2"/>
  <c r="J32" i="2"/>
  <c r="L32" i="2"/>
  <c r="I28" i="2"/>
  <c r="J28" i="2"/>
  <c r="L28" i="2"/>
  <c r="I29" i="2"/>
  <c r="J29" i="2"/>
  <c r="L29" i="2"/>
  <c r="L6" i="2"/>
  <c r="L8" i="2"/>
  <c r="L21" i="2"/>
  <c r="I30" i="2"/>
  <c r="J30" i="2"/>
  <c r="L30" i="2"/>
  <c r="J31" i="2"/>
  <c r="L31" i="2"/>
  <c r="L22" i="2"/>
  <c r="L33" i="2"/>
  <c r="L37" i="2"/>
</calcChain>
</file>

<file path=xl/sharedStrings.xml><?xml version="1.0" encoding="utf-8"?>
<sst xmlns="http://schemas.openxmlformats.org/spreadsheetml/2006/main" count="66" uniqueCount="64">
  <si>
    <t>($)</t>
  </si>
  <si>
    <t>Purple cell</t>
  </si>
  <si>
    <t>Yellow cell</t>
  </si>
  <si>
    <t>Blue cell</t>
  </si>
  <si>
    <t>Green cell</t>
  </si>
  <si>
    <t>Next License Exp./Renewal Date</t>
  </si>
  <si>
    <t>TAA with upfront payment</t>
  </si>
  <si>
    <t>Freq. Band</t>
  </si>
  <si>
    <t>Total Annual Amounts</t>
  </si>
  <si>
    <t>Call Sign</t>
  </si>
  <si>
    <t>Licensee</t>
  </si>
  <si>
    <t>Additional Information</t>
  </si>
  <si>
    <t xml:space="preserve">LCSF Due in this case is </t>
  </si>
  <si>
    <t>or the LCSF according to the Calculation</t>
  </si>
  <si>
    <t xml:space="preserve">LCSF in each case is the greater of the minimum CSF </t>
  </si>
  <si>
    <t>Calculated Incremental CSF</t>
  </si>
  <si>
    <t xml:space="preserve">CSF </t>
  </si>
  <si>
    <t>Percent (%)</t>
  </si>
  <si>
    <t>&gt; Threshold</t>
  </si>
  <si>
    <t>exceeds TH</t>
  </si>
  <si>
    <t>Threshold</t>
  </si>
  <si>
    <t>Incremental</t>
  </si>
  <si>
    <t>LCSF</t>
  </si>
  <si>
    <t>Positive NPV</t>
  </si>
  <si>
    <t xml:space="preserve">NPV that </t>
  </si>
  <si>
    <t>Contingent Success Fee Calculation</t>
  </si>
  <si>
    <t>Minimum Lessee Contingent Success Fee</t>
  </si>
  <si>
    <t>Ratio of Initial Annual to NPV</t>
  </si>
  <si>
    <t>Ratio of Upfront to NPV (Minimum is 10%)</t>
  </si>
  <si>
    <t>monthly payments are made at the end of the year</t>
  </si>
  <si>
    <t xml:space="preserve">payments are made at the beginning of the year and assuming all </t>
  </si>
  <si>
    <t xml:space="preserve">NPV is the average of the NPV value between assuming all monthly </t>
  </si>
  <si>
    <t>ten percent (10.0 %) annual discount rate.</t>
  </si>
  <si>
    <t xml:space="preserve">* For this calculation, the Net Present Value will be calculated at </t>
  </si>
  <si>
    <t>Discount Rate</t>
  </si>
  <si>
    <t>Undiscounted</t>
  </si>
  <si>
    <t xml:space="preserve"> ($)</t>
  </si>
  <si>
    <t>*Resulting NPV</t>
  </si>
  <si>
    <t>*NPV</t>
  </si>
  <si>
    <t>Payment</t>
  </si>
  <si>
    <t>Year</t>
  </si>
  <si>
    <t>Term Year</t>
  </si>
  <si>
    <t>Annual</t>
  </si>
  <si>
    <t>Monthly</t>
  </si>
  <si>
    <t>Example</t>
  </si>
  <si>
    <t>Annual Increase</t>
  </si>
  <si>
    <t>Minimum Upfront Payment ($10,000 or 10% of NPV)</t>
  </si>
  <si>
    <t>Initial Monthly Rent</t>
  </si>
  <si>
    <t>Initial Annual Rent</t>
  </si>
  <si>
    <t>Target Value</t>
  </si>
  <si>
    <t>Price Proposal</t>
  </si>
  <si>
    <t>MHz POP</t>
  </si>
  <si>
    <t>Population</t>
  </si>
  <si>
    <t>MHz</t>
  </si>
  <si>
    <t>Confidential</t>
  </si>
  <si>
    <t>Spectrum Marketplace Lease Value Calculation and CSF Calculation</t>
  </si>
  <si>
    <t>Information may be found on Spectrum Marketplace website portal, current values are placeholders</t>
  </si>
  <si>
    <t>Upfront payment Included in offer</t>
  </si>
  <si>
    <t>Figures from Spectrum Marketplace Participation Agreement</t>
  </si>
  <si>
    <t>Key offer variables to be provided by offeror</t>
  </si>
  <si>
    <t>Result of basic mathematical operation (addition/subtraction/multiplication/division)</t>
  </si>
  <si>
    <t>Result of financial or more complex formula</t>
  </si>
  <si>
    <t>Orange cell</t>
  </si>
  <si>
    <t>Key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</si>
</sst>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%"/>
    <numFmt numFmtId="165" formatCode="_(&quot;$&quot;* #,##0_);_(&quot;$&quot;* \(#,##0\);_(&quot;$&quot;* &quot;-&quot;??_);_(@_)"/>
    <numFmt numFmtId="166" formatCode="&quot;$&quot;#,##0"/>
    <numFmt numFmtId="167" formatCode="0.000"/>
    <numFmt numFmtId="168" formatCode="0.000%"/>
    <numFmt numFmtId="169" formatCode="&quot;$&quot;#,##0.0000"/>
    <numFmt numFmtId="170" formatCode="&quot;$&quot;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Calibri"/>
      <family val="2"/>
      <scheme val="minor"/>
    </font>
    <font>
      <sz val="11"/>
      <color rgb="FFFF3399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BCFF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6A9F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7">
    <xf numFmtId="0" fontId="0" fillId="0" borderId="0" xfId="0"/>
    <xf numFmtId="0" fontId="0" fillId="0" borderId="0" xfId="0" applyFont="1"/>
    <xf numFmtId="166" fontId="0" fillId="0" borderId="0" xfId="0" applyNumberFormat="1" applyFont="1"/>
    <xf numFmtId="0" fontId="0" fillId="0" borderId="0" xfId="0" applyFont="1" applyFill="1" applyBorder="1"/>
    <xf numFmtId="166" fontId="3" fillId="2" borderId="7" xfId="0" applyNumberFormat="1" applyFont="1" applyFill="1" applyBorder="1"/>
    <xf numFmtId="166" fontId="3" fillId="3" borderId="7" xfId="0" applyNumberFormat="1" applyFont="1" applyFill="1" applyBorder="1"/>
    <xf numFmtId="0" fontId="0" fillId="4" borderId="7" xfId="0" applyFont="1" applyFill="1" applyBorder="1"/>
    <xf numFmtId="0" fontId="3" fillId="0" borderId="0" xfId="0" applyFont="1"/>
    <xf numFmtId="167" fontId="0" fillId="0" borderId="0" xfId="0" applyNumberFormat="1" applyFont="1"/>
    <xf numFmtId="0" fontId="0" fillId="0" borderId="0" xfId="0" applyFont="1" applyBorder="1"/>
    <xf numFmtId="168" fontId="3" fillId="0" borderId="0" xfId="0" applyNumberFormat="1" applyFont="1" applyBorder="1"/>
    <xf numFmtId="0" fontId="3" fillId="0" borderId="0" xfId="0" applyFont="1" applyBorder="1"/>
    <xf numFmtId="166" fontId="3" fillId="0" borderId="0" xfId="0" applyNumberFormat="1" applyFont="1" applyBorder="1"/>
    <xf numFmtId="3" fontId="3" fillId="0" borderId="0" xfId="0" applyNumberFormat="1" applyFont="1" applyBorder="1"/>
    <xf numFmtId="166" fontId="0" fillId="5" borderId="8" xfId="0" applyNumberFormat="1" applyFont="1" applyFill="1" applyBorder="1"/>
    <xf numFmtId="14" fontId="0" fillId="4" borderId="8" xfId="0" applyNumberFormat="1" applyFont="1" applyFill="1" applyBorder="1" applyAlignment="1">
      <alignment horizontal="right"/>
    </xf>
    <xf numFmtId="14" fontId="0" fillId="4" borderId="6" xfId="0" applyNumberFormat="1" applyFont="1" applyFill="1" applyBorder="1"/>
    <xf numFmtId="14" fontId="0" fillId="4" borderId="15" xfId="0" applyNumberFormat="1" applyFont="1" applyFill="1" applyBorder="1"/>
    <xf numFmtId="0" fontId="3" fillId="0" borderId="8" xfId="0" applyFont="1" applyBorder="1" applyAlignment="1"/>
    <xf numFmtId="0" fontId="3" fillId="0" borderId="15" xfId="0" applyFont="1" applyBorder="1" applyAlignment="1"/>
    <xf numFmtId="0" fontId="3" fillId="0" borderId="6" xfId="0" applyFont="1" applyBorder="1"/>
    <xf numFmtId="3" fontId="3" fillId="5" borderId="8" xfId="0" applyNumberFormat="1" applyFont="1" applyFill="1" applyBorder="1"/>
    <xf numFmtId="0" fontId="3" fillId="5" borderId="6" xfId="0" applyFont="1" applyFill="1" applyBorder="1"/>
    <xf numFmtId="0" fontId="3" fillId="5" borderId="15" xfId="0" applyFont="1" applyFill="1" applyBorder="1"/>
    <xf numFmtId="166" fontId="0" fillId="5" borderId="5" xfId="0" applyNumberFormat="1" applyFont="1" applyFill="1" applyBorder="1"/>
    <xf numFmtId="0" fontId="4" fillId="4" borderId="5" xfId="0" applyFont="1" applyFill="1" applyBorder="1" applyAlignment="1">
      <alignment horizontal="right"/>
    </xf>
    <xf numFmtId="0" fontId="4" fillId="4" borderId="0" xfId="0" applyFont="1" applyFill="1" applyBorder="1" applyAlignment="1">
      <alignment horizontal="right"/>
    </xf>
    <xf numFmtId="0" fontId="4" fillId="4" borderId="4" xfId="0" applyFont="1" applyFill="1" applyBorder="1" applyAlignment="1">
      <alignment horizontal="right"/>
    </xf>
    <xf numFmtId="0" fontId="4" fillId="0" borderId="5" xfId="0" applyFont="1" applyFill="1" applyBorder="1" applyAlignment="1">
      <alignment horizontal="right"/>
    </xf>
    <xf numFmtId="0" fontId="3" fillId="0" borderId="4" xfId="0" applyFont="1" applyFill="1" applyBorder="1" applyAlignment="1"/>
    <xf numFmtId="166" fontId="3" fillId="2" borderId="7" xfId="1" applyNumberFormat="1" applyFont="1" applyFill="1" applyBorder="1"/>
    <xf numFmtId="3" fontId="3" fillId="5" borderId="3" xfId="0" applyNumberFormat="1" applyFont="1" applyFill="1" applyBorder="1"/>
    <xf numFmtId="0" fontId="3" fillId="5" borderId="2" xfId="0" applyFont="1" applyFill="1" applyBorder="1"/>
    <xf numFmtId="0" fontId="3" fillId="5" borderId="2" xfId="0" applyFont="1" applyFill="1" applyBorder="1" applyAlignment="1">
      <alignment horizontal="left"/>
    </xf>
    <xf numFmtId="0" fontId="3" fillId="5" borderId="4" xfId="0" applyFont="1" applyFill="1" applyBorder="1"/>
    <xf numFmtId="0" fontId="3" fillId="5" borderId="5" xfId="0" applyFont="1" applyFill="1" applyBorder="1"/>
    <xf numFmtId="0" fontId="5" fillId="4" borderId="5" xfId="0" applyFont="1" applyFill="1" applyBorder="1" applyAlignment="1">
      <alignment horizontal="right" wrapText="1"/>
    </xf>
    <xf numFmtId="0" fontId="5" fillId="4" borderId="0" xfId="0" applyFont="1" applyFill="1" applyBorder="1" applyAlignment="1">
      <alignment horizontal="right" wrapText="1"/>
    </xf>
    <xf numFmtId="0" fontId="5" fillId="4" borderId="4" xfId="0" applyFont="1" applyFill="1" applyBorder="1" applyAlignment="1">
      <alignment horizontal="right" wrapText="1"/>
    </xf>
    <xf numFmtId="0" fontId="5" fillId="0" borderId="5" xfId="0" applyFont="1" applyFill="1" applyBorder="1" applyAlignment="1">
      <alignment horizontal="right" wrapText="1"/>
    </xf>
    <xf numFmtId="0" fontId="3" fillId="0" borderId="4" xfId="0" applyFont="1" applyBorder="1" applyAlignment="1"/>
    <xf numFmtId="3" fontId="0" fillId="3" borderId="8" xfId="0" applyNumberFormat="1" applyFont="1" applyFill="1" applyBorder="1"/>
    <xf numFmtId="3" fontId="0" fillId="3" borderId="15" xfId="0" applyNumberFormat="1" applyFont="1" applyFill="1" applyBorder="1"/>
    <xf numFmtId="0" fontId="0" fillId="0" borderId="6" xfId="0" applyFont="1" applyBorder="1"/>
    <xf numFmtId="0" fontId="0" fillId="5" borderId="13" xfId="0" applyFont="1" applyFill="1" applyBorder="1"/>
    <xf numFmtId="0" fontId="5" fillId="4" borderId="3" xfId="0" applyFont="1" applyFill="1" applyBorder="1" applyAlignment="1">
      <alignment horizontal="right" wrapText="1"/>
    </xf>
    <xf numFmtId="0" fontId="5" fillId="4" borderId="2" xfId="0" applyFont="1" applyFill="1" applyBorder="1" applyAlignment="1">
      <alignment horizontal="right" wrapText="1"/>
    </xf>
    <xf numFmtId="0" fontId="5" fillId="4" borderId="1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3" fillId="0" borderId="1" xfId="0" applyFont="1" applyBorder="1" applyAlignment="1"/>
    <xf numFmtId="3" fontId="0" fillId="3" borderId="5" xfId="0" applyNumberFormat="1" applyFont="1" applyFill="1" applyBorder="1"/>
    <xf numFmtId="3" fontId="0" fillId="3" borderId="4" xfId="0" applyNumberFormat="1" applyFont="1" applyFill="1" applyBorder="1"/>
    <xf numFmtId="0" fontId="0" fillId="0" borderId="4" xfId="0" applyFont="1" applyBorder="1"/>
    <xf numFmtId="0" fontId="0" fillId="5" borderId="4" xfId="0" applyFont="1" applyFill="1" applyBorder="1"/>
    <xf numFmtId="0" fontId="0" fillId="5" borderId="12" xfId="0" applyFont="1" applyFill="1" applyBorder="1"/>
    <xf numFmtId="0" fontId="0" fillId="5" borderId="11" xfId="0" applyFont="1" applyFill="1" applyBorder="1"/>
    <xf numFmtId="0" fontId="0" fillId="5" borderId="2" xfId="0" applyFont="1" applyFill="1" applyBorder="1"/>
    <xf numFmtId="0" fontId="3" fillId="5" borderId="1" xfId="0" applyFont="1" applyFill="1" applyBorder="1"/>
    <xf numFmtId="0" fontId="0" fillId="5" borderId="5" xfId="0" applyFont="1" applyFill="1" applyBorder="1"/>
    <xf numFmtId="0" fontId="3" fillId="0" borderId="4" xfId="0" applyFont="1" applyBorder="1"/>
    <xf numFmtId="0" fontId="0" fillId="0" borderId="8" xfId="0" applyFont="1" applyBorder="1"/>
    <xf numFmtId="167" fontId="6" fillId="0" borderId="0" xfId="0" applyNumberFormat="1" applyFont="1" applyBorder="1"/>
    <xf numFmtId="166" fontId="6" fillId="0" borderId="0" xfId="0" applyNumberFormat="1" applyFont="1" applyBorder="1"/>
    <xf numFmtId="10" fontId="6" fillId="0" borderId="0" xfId="0" applyNumberFormat="1" applyFont="1" applyBorder="1"/>
    <xf numFmtId="3" fontId="0" fillId="0" borderId="4" xfId="0" applyNumberFormat="1" applyFont="1" applyBorder="1"/>
    <xf numFmtId="0" fontId="0" fillId="0" borderId="5" xfId="0" applyFont="1" applyBorder="1"/>
    <xf numFmtId="0" fontId="0" fillId="0" borderId="3" xfId="0" applyFont="1" applyBorder="1"/>
    <xf numFmtId="166" fontId="0" fillId="0" borderId="0" xfId="0" applyNumberFormat="1" applyFont="1" applyBorder="1"/>
    <xf numFmtId="0" fontId="0" fillId="0" borderId="1" xfId="0" applyFont="1" applyBorder="1"/>
    <xf numFmtId="166" fontId="3" fillId="5" borderId="12" xfId="0" applyNumberFormat="1" applyFont="1" applyFill="1" applyBorder="1"/>
    <xf numFmtId="9" fontId="3" fillId="5" borderId="11" xfId="0" applyNumberFormat="1" applyFont="1" applyFill="1" applyBorder="1"/>
    <xf numFmtId="0" fontId="3" fillId="5" borderId="10" xfId="0" applyFont="1" applyFill="1" applyBorder="1"/>
    <xf numFmtId="166" fontId="0" fillId="2" borderId="0" xfId="0" applyNumberFormat="1" applyFont="1" applyFill="1" applyBorder="1"/>
    <xf numFmtId="166" fontId="0" fillId="2" borderId="2" xfId="0" applyNumberFormat="1" applyFont="1" applyFill="1" applyBorder="1"/>
    <xf numFmtId="0" fontId="0" fillId="0" borderId="0" xfId="0" applyFont="1" applyFill="1"/>
    <xf numFmtId="0" fontId="0" fillId="5" borderId="5" xfId="0" applyFont="1" applyFill="1" applyBorder="1" applyAlignment="1">
      <alignment horizontal="center" vertical="center"/>
    </xf>
    <xf numFmtId="166" fontId="0" fillId="5" borderId="6" xfId="0" applyNumberFormat="1" applyFont="1" applyFill="1" applyBorder="1" applyAlignment="1">
      <alignment horizontal="center" vertical="center"/>
    </xf>
    <xf numFmtId="9" fontId="0" fillId="5" borderId="6" xfId="0" applyNumberFormat="1" applyFont="1" applyFill="1" applyBorder="1" applyAlignment="1">
      <alignment horizontal="center"/>
    </xf>
    <xf numFmtId="0" fontId="0" fillId="5" borderId="15" xfId="0" applyFont="1" applyFill="1" applyBorder="1" applyAlignment="1">
      <alignment horizontal="center"/>
    </xf>
    <xf numFmtId="0" fontId="0" fillId="5" borderId="3" xfId="0" applyFont="1" applyFill="1" applyBorder="1" applyAlignment="1">
      <alignment horizontal="center" vertical="center"/>
    </xf>
    <xf numFmtId="166" fontId="0" fillId="5" borderId="2" xfId="0" applyNumberFormat="1" applyFont="1" applyFill="1" applyBorder="1" applyAlignment="1">
      <alignment horizontal="center" vertical="center"/>
    </xf>
    <xf numFmtId="9" fontId="0" fillId="5" borderId="2" xfId="0" applyNumberFormat="1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166" fontId="0" fillId="5" borderId="11" xfId="0" applyNumberFormat="1" applyFont="1" applyFill="1" applyBorder="1"/>
    <xf numFmtId="166" fontId="3" fillId="5" borderId="11" xfId="0" applyNumberFormat="1" applyFont="1" applyFill="1" applyBorder="1"/>
    <xf numFmtId="166" fontId="3" fillId="5" borderId="10" xfId="0" applyNumberFormat="1" applyFont="1" applyFill="1" applyBorder="1"/>
    <xf numFmtId="166" fontId="0" fillId="5" borderId="12" xfId="0" applyNumberFormat="1" applyFont="1" applyFill="1" applyBorder="1"/>
    <xf numFmtId="0" fontId="0" fillId="0" borderId="12" xfId="0" applyFont="1" applyBorder="1"/>
    <xf numFmtId="10" fontId="3" fillId="3" borderId="9" xfId="0" applyNumberFormat="1" applyFont="1" applyFill="1" applyBorder="1" applyAlignment="1">
      <alignment horizontal="right"/>
    </xf>
    <xf numFmtId="0" fontId="0" fillId="5" borderId="6" xfId="0" applyFont="1" applyFill="1" applyBorder="1"/>
    <xf numFmtId="3" fontId="3" fillId="5" borderId="6" xfId="0" applyNumberFormat="1" applyFont="1" applyFill="1" applyBorder="1"/>
    <xf numFmtId="3" fontId="7" fillId="5" borderId="15" xfId="0" applyNumberFormat="1" applyFont="1" applyFill="1" applyBorder="1"/>
    <xf numFmtId="0" fontId="0" fillId="5" borderId="3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3" fontId="3" fillId="5" borderId="1" xfId="0" applyNumberFormat="1" applyFont="1" applyFill="1" applyBorder="1"/>
    <xf numFmtId="0" fontId="0" fillId="0" borderId="15" xfId="0" applyFont="1" applyBorder="1"/>
    <xf numFmtId="167" fontId="3" fillId="0" borderId="5" xfId="0" applyNumberFormat="1" applyFont="1" applyBorder="1"/>
    <xf numFmtId="167" fontId="0" fillId="0" borderId="5" xfId="0" applyNumberFormat="1" applyFont="1" applyBorder="1"/>
    <xf numFmtId="167" fontId="0" fillId="0" borderId="0" xfId="0" applyNumberFormat="1" applyFont="1" applyBorder="1"/>
    <xf numFmtId="10" fontId="0" fillId="0" borderId="0" xfId="0" applyNumberFormat="1" applyFont="1" applyBorder="1"/>
    <xf numFmtId="3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3" fillId="0" borderId="0" xfId="0" applyNumberFormat="1" applyFont="1" applyBorder="1"/>
    <xf numFmtId="170" fontId="2" fillId="2" borderId="7" xfId="0" applyNumberFormat="1" applyFont="1" applyFill="1" applyBorder="1"/>
    <xf numFmtId="3" fontId="2" fillId="0" borderId="4" xfId="0" applyNumberFormat="1" applyFont="1" applyBorder="1"/>
    <xf numFmtId="3" fontId="0" fillId="3" borderId="3" xfId="0" applyNumberFormat="1" applyFont="1" applyFill="1" applyBorder="1"/>
    <xf numFmtId="3" fontId="0" fillId="3" borderId="1" xfId="0" applyNumberFormat="1" applyFont="1" applyFill="1" applyBorder="1"/>
    <xf numFmtId="0" fontId="0" fillId="0" borderId="16" xfId="0" applyFont="1" applyBorder="1"/>
    <xf numFmtId="169" fontId="0" fillId="0" borderId="0" xfId="0" applyNumberFormat="1" applyFont="1" applyBorder="1"/>
    <xf numFmtId="166" fontId="0" fillId="0" borderId="9" xfId="0" applyNumberFormat="1" applyFont="1" applyFill="1" applyBorder="1"/>
    <xf numFmtId="10" fontId="0" fillId="0" borderId="9" xfId="0" applyNumberFormat="1" applyFont="1" applyFill="1" applyBorder="1"/>
    <xf numFmtId="3" fontId="0" fillId="0" borderId="17" xfId="0" applyNumberFormat="1" applyFont="1" applyBorder="1"/>
    <xf numFmtId="0" fontId="0" fillId="0" borderId="18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9" xfId="0" applyFont="1" applyBorder="1"/>
    <xf numFmtId="0" fontId="3" fillId="5" borderId="20" xfId="0" applyFont="1" applyFill="1" applyBorder="1" applyAlignment="1">
      <alignment horizontal="center"/>
    </xf>
    <xf numFmtId="0" fontId="3" fillId="5" borderId="20" xfId="0" applyFont="1" applyFill="1" applyBorder="1"/>
    <xf numFmtId="166" fontId="3" fillId="5" borderId="20" xfId="0" applyNumberFormat="1" applyFont="1" applyFill="1" applyBorder="1"/>
    <xf numFmtId="3" fontId="3" fillId="5" borderId="20" xfId="0" applyNumberFormat="1" applyFont="1" applyFill="1" applyBorder="1"/>
    <xf numFmtId="3" fontId="3" fillId="5" borderId="20" xfId="0" applyNumberFormat="1" applyFont="1" applyFill="1" applyBorder="1" applyAlignment="1">
      <alignment horizontal="center"/>
    </xf>
    <xf numFmtId="0" fontId="0" fillId="5" borderId="21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5" borderId="13" xfId="0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 wrapText="1"/>
    </xf>
    <xf numFmtId="0" fontId="9" fillId="0" borderId="15" xfId="0" applyFont="1" applyFill="1" applyBorder="1" applyAlignment="1">
      <alignment horizontal="left"/>
    </xf>
    <xf numFmtId="0" fontId="3" fillId="0" borderId="15" xfId="0" applyFont="1" applyBorder="1"/>
    <xf numFmtId="0" fontId="0" fillId="5" borderId="15" xfId="0" applyFont="1" applyFill="1" applyBorder="1"/>
    <xf numFmtId="0" fontId="0" fillId="5" borderId="5" xfId="0" applyFont="1" applyFill="1" applyBorder="1" applyAlignment="1">
      <alignment horizontal="center"/>
    </xf>
    <xf numFmtId="165" fontId="0" fillId="0" borderId="2" xfId="1" applyNumberFormat="1" applyFont="1" applyBorder="1"/>
    <xf numFmtId="0" fontId="0" fillId="0" borderId="2" xfId="0" applyFont="1" applyBorder="1" applyAlignment="1">
      <alignment horizontal="center"/>
    </xf>
    <xf numFmtId="0" fontId="3" fillId="0" borderId="2" xfId="0" applyFont="1" applyBorder="1"/>
    <xf numFmtId="0" fontId="3" fillId="0" borderId="1" xfId="0" applyFont="1" applyBorder="1"/>
    <xf numFmtId="0" fontId="0" fillId="0" borderId="2" xfId="0" applyFont="1" applyBorder="1"/>
    <xf numFmtId="166" fontId="0" fillId="5" borderId="13" xfId="0" applyNumberFormat="1" applyFont="1" applyFill="1" applyBorder="1"/>
    <xf numFmtId="0" fontId="3" fillId="0" borderId="11" xfId="0" applyFont="1" applyBorder="1" applyAlignment="1">
      <alignment horizontal="center"/>
    </xf>
    <xf numFmtId="166" fontId="0" fillId="0" borderId="6" xfId="0" applyNumberFormat="1" applyFont="1" applyBorder="1"/>
    <xf numFmtId="8" fontId="0" fillId="0" borderId="6" xfId="0" applyNumberFormat="1" applyFont="1" applyBorder="1"/>
    <xf numFmtId="166" fontId="3" fillId="0" borderId="15" xfId="0" applyNumberFormat="1" applyFont="1" applyBorder="1"/>
    <xf numFmtId="6" fontId="3" fillId="3" borderId="7" xfId="0" applyNumberFormat="1" applyFont="1" applyFill="1" applyBorder="1"/>
    <xf numFmtId="166" fontId="3" fillId="0" borderId="4" xfId="0" applyNumberFormat="1" applyFont="1" applyBorder="1"/>
    <xf numFmtId="3" fontId="0" fillId="4" borderId="7" xfId="0" applyNumberFormat="1" applyFont="1" applyFill="1" applyBorder="1"/>
    <xf numFmtId="0" fontId="0" fillId="5" borderId="1" xfId="0" applyFont="1" applyFill="1" applyBorder="1"/>
    <xf numFmtId="166" fontId="0" fillId="6" borderId="5" xfId="0" applyNumberFormat="1" applyFont="1" applyFill="1" applyBorder="1"/>
    <xf numFmtId="0" fontId="0" fillId="6" borderId="6" xfId="0" applyFill="1" applyBorder="1" applyAlignment="1">
      <alignment horizontal="left"/>
    </xf>
    <xf numFmtId="0" fontId="3" fillId="6" borderId="6" xfId="0" applyFont="1" applyFill="1" applyBorder="1" applyAlignment="1">
      <alignment horizontal="left"/>
    </xf>
    <xf numFmtId="0" fontId="0" fillId="6" borderId="15" xfId="0" applyFont="1" applyFill="1" applyBorder="1"/>
    <xf numFmtId="0" fontId="0" fillId="6" borderId="0" xfId="0" applyFill="1" applyBorder="1" applyAlignment="1"/>
    <xf numFmtId="0" fontId="0" fillId="6" borderId="4" xfId="0" applyFont="1" applyFill="1" applyBorder="1"/>
    <xf numFmtId="166" fontId="0" fillId="6" borderId="3" xfId="0" applyNumberFormat="1" applyFont="1" applyFill="1" applyBorder="1"/>
    <xf numFmtId="0" fontId="0" fillId="6" borderId="2" xfId="0" applyFont="1" applyFill="1" applyBorder="1"/>
    <xf numFmtId="0" fontId="3" fillId="6" borderId="2" xfId="0" applyFont="1" applyFill="1" applyBorder="1"/>
    <xf numFmtId="0" fontId="0" fillId="6" borderId="1" xfId="0" applyFont="1" applyFill="1" applyBorder="1"/>
    <xf numFmtId="0" fontId="14" fillId="6" borderId="2" xfId="0" applyFont="1" applyFill="1" applyBorder="1"/>
    <xf numFmtId="10" fontId="3" fillId="0" borderId="6" xfId="0" applyNumberFormat="1" applyFont="1" applyBorder="1"/>
    <xf numFmtId="166" fontId="3" fillId="0" borderId="6" xfId="0" applyNumberFormat="1" applyFont="1" applyBorder="1"/>
    <xf numFmtId="167" fontId="3" fillId="0" borderId="6" xfId="0" applyNumberFormat="1" applyFont="1" applyBorder="1"/>
    <xf numFmtId="0" fontId="3" fillId="0" borderId="6" xfId="0" applyFont="1" applyFill="1" applyBorder="1"/>
    <xf numFmtId="0" fontId="0" fillId="0" borderId="6" xfId="0" applyFont="1" applyFill="1" applyBorder="1"/>
    <xf numFmtId="169" fontId="3" fillId="3" borderId="7" xfId="0" applyNumberFormat="1" applyFont="1" applyFill="1" applyBorder="1"/>
    <xf numFmtId="166" fontId="3" fillId="7" borderId="10" xfId="0" applyNumberFormat="1" applyFont="1" applyFill="1" applyBorder="1" applyProtection="1"/>
    <xf numFmtId="166" fontId="3" fillId="7" borderId="7" xfId="0" applyNumberFormat="1" applyFont="1" applyFill="1" applyBorder="1"/>
    <xf numFmtId="164" fontId="3" fillId="7" borderId="7" xfId="2" applyNumberFormat="1" applyFont="1" applyFill="1" applyBorder="1"/>
    <xf numFmtId="0" fontId="14" fillId="6" borderId="0" xfId="0" applyFont="1" applyFill="1" applyBorder="1"/>
    <xf numFmtId="3" fontId="3" fillId="3" borderId="7" xfId="0" applyNumberFormat="1" applyFont="1" applyFill="1" applyBorder="1"/>
    <xf numFmtId="10" fontId="3" fillId="3" borderId="7" xfId="0" applyNumberFormat="1" applyFont="1" applyFill="1" applyBorder="1" applyAlignment="1">
      <alignment horizontal="right"/>
    </xf>
    <xf numFmtId="166" fontId="3" fillId="3" borderId="14" xfId="0" applyNumberFormat="1" applyFont="1" applyFill="1" applyBorder="1"/>
    <xf numFmtId="166" fontId="0" fillId="3" borderId="5" xfId="0" applyNumberFormat="1" applyFont="1" applyFill="1" applyBorder="1"/>
    <xf numFmtId="166" fontId="3" fillId="9" borderId="7" xfId="0" applyNumberFormat="1" applyFont="1" applyFill="1" applyBorder="1" applyAlignment="1">
      <alignment horizontal="right"/>
    </xf>
    <xf numFmtId="10" fontId="2" fillId="9" borderId="7" xfId="0" applyNumberFormat="1" applyFont="1" applyFill="1" applyBorder="1"/>
    <xf numFmtId="166" fontId="0" fillId="9" borderId="7" xfId="0" applyNumberFormat="1" applyFont="1" applyFill="1" applyBorder="1"/>
    <xf numFmtId="164" fontId="0" fillId="9" borderId="7" xfId="0" applyNumberFormat="1" applyFont="1" applyFill="1" applyBorder="1"/>
    <xf numFmtId="166" fontId="3" fillId="9" borderId="7" xfId="0" applyNumberFormat="1" applyFont="1" applyFill="1" applyBorder="1" applyProtection="1"/>
    <xf numFmtId="0" fontId="3" fillId="0" borderId="22" xfId="0" applyFont="1" applyBorder="1" applyAlignment="1">
      <alignment horizontal="center"/>
    </xf>
    <xf numFmtId="166" fontId="3" fillId="7" borderId="23" xfId="0" applyNumberFormat="1" applyFont="1" applyFill="1" applyBorder="1"/>
    <xf numFmtId="166" fontId="3" fillId="8" borderId="23" xfId="0" applyNumberFormat="1" applyFont="1" applyFill="1" applyBorder="1"/>
    <xf numFmtId="166" fontId="3" fillId="2" borderId="23" xfId="0" applyNumberFormat="1" applyFont="1" applyFill="1" applyBorder="1"/>
    <xf numFmtId="0" fontId="0" fillId="6" borderId="2" xfId="0" applyFont="1" applyFill="1" applyBorder="1" applyAlignment="1"/>
    <xf numFmtId="0" fontId="0" fillId="0" borderId="2" xfId="0" applyBorder="1" applyAlignment="1"/>
    <xf numFmtId="0" fontId="0" fillId="0" borderId="0" xfId="0" applyBorder="1" applyAlignment="1"/>
    <xf numFmtId="0" fontId="13" fillId="6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3" fillId="4" borderId="23" xfId="0" applyFont="1" applyFill="1" applyBorder="1"/>
    <xf numFmtId="0" fontId="3" fillId="9" borderId="24" xfId="0" applyFont="1" applyFill="1" applyBorder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D6A9F1"/>
      <color rgb="FFC88BED"/>
      <color rgb="FFF7A7F3"/>
      <color rgb="FFF375ED"/>
      <color rgb="FF7BCFF5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301892</xdr:colOff>
      <xdr:row>1</xdr:row>
      <xdr:rowOff>83766</xdr:rowOff>
    </xdr:from>
    <xdr:to>
      <xdr:col>11</xdr:col>
      <xdr:colOff>1139213</xdr:colOff>
      <xdr:row>3</xdr:row>
      <xdr:rowOff>188318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4073" y="225628"/>
          <a:ext cx="1789821" cy="5098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P51"/>
  <sheetViews>
    <sheetView tabSelected="1" zoomScale="122" zoomScaleNormal="122" workbookViewId="0">
      <selection activeCell="P13" sqref="P13"/>
    </sheetView>
  </sheetViews>
  <sheetFormatPr baseColWidth="10" defaultColWidth="9.1640625" defaultRowHeight="15" x14ac:dyDescent="0.2"/>
  <cols>
    <col min="1" max="2" width="1.1640625" style="1" customWidth="1"/>
    <col min="3" max="3" width="10.6640625" style="1" customWidth="1"/>
    <col min="4" max="4" width="10.33203125" style="1" customWidth="1"/>
    <col min="5" max="5" width="14.33203125" style="1" customWidth="1"/>
    <col min="6" max="6" width="13.5" style="1" customWidth="1"/>
    <col min="7" max="7" width="3.1640625" style="1" customWidth="1"/>
    <col min="8" max="8" width="16.5" style="1" customWidth="1"/>
    <col min="9" max="9" width="13.83203125" style="1" customWidth="1"/>
    <col min="10" max="10" width="14.1640625" style="1" customWidth="1"/>
    <col min="11" max="11" width="12.5" style="1" customWidth="1"/>
    <col min="12" max="12" width="15" style="1" customWidth="1"/>
    <col min="13" max="13" width="1.1640625" style="2" customWidth="1"/>
    <col min="14" max="14" width="2.5" style="1" customWidth="1"/>
    <col min="15" max="16384" width="9.1640625" style="1"/>
  </cols>
  <sheetData>
    <row r="1" spans="2:16" ht="11.25" customHeight="1" x14ac:dyDescent="0.2"/>
    <row r="2" spans="2:16" ht="16" x14ac:dyDescent="0.2">
      <c r="B2" s="153"/>
      <c r="C2" s="154"/>
      <c r="D2" s="152"/>
      <c r="E2" s="151"/>
      <c r="F2" s="151"/>
      <c r="G2" s="151"/>
      <c r="H2" s="151"/>
      <c r="I2" s="151"/>
      <c r="J2" s="178"/>
      <c r="K2" s="179"/>
      <c r="L2" s="179"/>
      <c r="M2" s="150"/>
    </row>
    <row r="3" spans="2:16" ht="16" x14ac:dyDescent="0.2">
      <c r="B3" s="149"/>
      <c r="C3" s="164" t="s">
        <v>55</v>
      </c>
      <c r="D3" s="148"/>
      <c r="E3" s="148"/>
      <c r="F3" s="148"/>
      <c r="G3" s="148"/>
      <c r="H3" s="148"/>
      <c r="I3" s="148"/>
      <c r="J3" s="180"/>
      <c r="K3" s="180"/>
      <c r="L3" s="180"/>
      <c r="M3" s="144"/>
    </row>
    <row r="4" spans="2:16" ht="15" customHeight="1" x14ac:dyDescent="0.25">
      <c r="B4" s="147"/>
      <c r="C4" s="146"/>
      <c r="D4" s="145"/>
      <c r="E4" s="145"/>
      <c r="F4" s="145"/>
      <c r="G4" s="145"/>
      <c r="H4" s="145"/>
      <c r="I4" s="181" t="s">
        <v>54</v>
      </c>
      <c r="J4" s="182"/>
      <c r="K4" s="183"/>
      <c r="L4" s="184"/>
      <c r="M4" s="144"/>
    </row>
    <row r="5" spans="2:16" ht="15" customHeight="1" x14ac:dyDescent="0.2">
      <c r="B5" s="143"/>
      <c r="C5" s="133" t="s">
        <v>53</v>
      </c>
      <c r="D5" s="134"/>
      <c r="E5" s="6">
        <v>22.5</v>
      </c>
      <c r="F5" s="134"/>
      <c r="G5" s="134"/>
      <c r="H5" s="133" t="s">
        <v>52</v>
      </c>
      <c r="I5" s="142">
        <v>100000</v>
      </c>
      <c r="J5" s="134"/>
      <c r="K5" s="134"/>
      <c r="L5" s="87"/>
      <c r="M5" s="24"/>
    </row>
    <row r="6" spans="2:16" ht="15" customHeight="1" x14ac:dyDescent="0.2">
      <c r="B6" s="53"/>
      <c r="C6" s="141" t="s">
        <v>51</v>
      </c>
      <c r="D6" s="9"/>
      <c r="E6" s="165">
        <f>E5*I5</f>
        <v>2250000</v>
      </c>
      <c r="F6" s="9"/>
      <c r="G6" s="9"/>
      <c r="H6" s="59" t="s">
        <v>50</v>
      </c>
      <c r="I6" s="160">
        <f>J13/E6</f>
        <v>5.7263603735411887E-2</v>
      </c>
      <c r="J6" s="67"/>
      <c r="K6" s="11" t="s">
        <v>49</v>
      </c>
      <c r="L6" s="140">
        <f>I6*E6</f>
        <v>128843.10840467675</v>
      </c>
      <c r="M6" s="24"/>
    </row>
    <row r="7" spans="2:16" ht="15" customHeight="1" x14ac:dyDescent="0.2">
      <c r="B7" s="128"/>
      <c r="C7" s="139" t="s">
        <v>48</v>
      </c>
      <c r="D7" s="43"/>
      <c r="E7" s="5">
        <f>E8*12</f>
        <v>9000</v>
      </c>
      <c r="F7" s="43"/>
      <c r="G7" s="43"/>
      <c r="H7" s="127"/>
      <c r="I7" s="138"/>
      <c r="J7" s="137"/>
      <c r="K7" s="43"/>
      <c r="L7" s="136"/>
      <c r="M7" s="135"/>
    </row>
    <row r="8" spans="2:16" s="123" customFormat="1" x14ac:dyDescent="0.2">
      <c r="B8" s="82"/>
      <c r="C8" s="133" t="s">
        <v>47</v>
      </c>
      <c r="D8" s="132"/>
      <c r="E8" s="162">
        <v>750</v>
      </c>
      <c r="F8" s="134"/>
      <c r="G8" s="134"/>
      <c r="H8" s="133" t="s">
        <v>46</v>
      </c>
      <c r="I8" s="132"/>
      <c r="J8" s="131"/>
      <c r="K8" s="130"/>
      <c r="L8" s="169">
        <f>IF((L6*0.1&gt;10000),(L6*0.1),10000)</f>
        <v>12884.310840467675</v>
      </c>
      <c r="M8" s="129"/>
    </row>
    <row r="9" spans="2:16" s="123" customFormat="1" x14ac:dyDescent="0.2">
      <c r="B9" s="128"/>
      <c r="C9" s="127" t="s">
        <v>45</v>
      </c>
      <c r="D9" s="11"/>
      <c r="E9" s="163">
        <v>0.03</v>
      </c>
      <c r="F9" s="9"/>
      <c r="G9" s="9"/>
      <c r="H9" s="126" t="s">
        <v>57</v>
      </c>
      <c r="I9" s="125"/>
      <c r="J9" s="113"/>
      <c r="K9" s="113"/>
      <c r="L9" s="161">
        <v>12622</v>
      </c>
      <c r="M9" s="124"/>
    </row>
    <row r="10" spans="2:16" x14ac:dyDescent="0.2">
      <c r="B10" s="122"/>
      <c r="C10" s="121"/>
      <c r="D10" s="93" t="s">
        <v>44</v>
      </c>
      <c r="E10" s="93" t="s">
        <v>43</v>
      </c>
      <c r="F10" s="93" t="s">
        <v>42</v>
      </c>
      <c r="G10" s="93"/>
      <c r="H10" s="32"/>
      <c r="I10" s="32"/>
      <c r="J10" s="32"/>
      <c r="K10" s="32"/>
      <c r="L10" s="121"/>
      <c r="M10" s="58"/>
    </row>
    <row r="11" spans="2:16" ht="16" thickBot="1" x14ac:dyDescent="0.25">
      <c r="B11" s="120"/>
      <c r="C11" s="115" t="s">
        <v>41</v>
      </c>
      <c r="D11" s="115" t="s">
        <v>40</v>
      </c>
      <c r="E11" s="115" t="s">
        <v>39</v>
      </c>
      <c r="F11" s="119" t="s">
        <v>39</v>
      </c>
      <c r="G11" s="115"/>
      <c r="H11" s="118" t="s">
        <v>38</v>
      </c>
      <c r="I11" s="116" t="s">
        <v>34</v>
      </c>
      <c r="J11" s="117" t="s">
        <v>37</v>
      </c>
      <c r="K11" s="116"/>
      <c r="L11" s="115"/>
      <c r="M11" s="58"/>
    </row>
    <row r="12" spans="2:16" x14ac:dyDescent="0.2">
      <c r="B12" s="53"/>
      <c r="C12" s="114"/>
      <c r="D12" s="9"/>
      <c r="E12" s="113" t="s">
        <v>0</v>
      </c>
      <c r="F12" s="112" t="s">
        <v>36</v>
      </c>
      <c r="G12" s="9"/>
      <c r="H12" s="111" t="s">
        <v>35</v>
      </c>
      <c r="I12" s="110">
        <v>0</v>
      </c>
      <c r="J12" s="109">
        <f>((((NPV(I12,F$14:F$42)+F$13))+(NPV(I12,F$13:F$42)))/2)+L$9</f>
        <v>440800.74135689833</v>
      </c>
      <c r="K12" s="108"/>
      <c r="L12" s="107"/>
      <c r="M12" s="58"/>
    </row>
    <row r="13" spans="2:16" ht="16" x14ac:dyDescent="0.2">
      <c r="B13" s="53"/>
      <c r="C13" s="68">
        <v>1</v>
      </c>
      <c r="D13" s="66">
        <v>2019</v>
      </c>
      <c r="E13" s="106">
        <f>E8</f>
        <v>750</v>
      </c>
      <c r="F13" s="105">
        <f t="shared" ref="F13:F42" si="0">E13*12</f>
        <v>9000</v>
      </c>
      <c r="G13" s="9"/>
      <c r="H13" s="104" t="s">
        <v>34</v>
      </c>
      <c r="I13" s="170">
        <v>0.1</v>
      </c>
      <c r="J13" s="103">
        <f>((((NPV(I13,F$14:F$42)+F$13))+(NPV(I13,F$13:F$42)))/2)+L$9</f>
        <v>128843.10840467675</v>
      </c>
      <c r="K13" s="102"/>
      <c r="L13" s="65"/>
      <c r="M13" s="58"/>
      <c r="O13" s="101"/>
      <c r="P13" s="100"/>
    </row>
    <row r="14" spans="2:16" x14ac:dyDescent="0.2">
      <c r="B14" s="53"/>
      <c r="C14" s="52">
        <f t="shared" ref="C14:C42" si="1">+C13+1</f>
        <v>2</v>
      </c>
      <c r="D14" s="9">
        <f t="shared" ref="D14:D42" si="2">+D13+1</f>
        <v>2020</v>
      </c>
      <c r="E14" s="51">
        <f t="shared" ref="E14:E42" si="3">E13*(1+E$9)</f>
        <v>772.5</v>
      </c>
      <c r="F14" s="50">
        <f t="shared" si="0"/>
        <v>9270</v>
      </c>
      <c r="G14" s="9"/>
      <c r="H14" s="64"/>
      <c r="I14" s="99"/>
      <c r="J14" s="67"/>
      <c r="K14" s="98"/>
      <c r="L14" s="65"/>
      <c r="M14" s="58"/>
    </row>
    <row r="15" spans="2:16" x14ac:dyDescent="0.2">
      <c r="B15" s="53"/>
      <c r="C15" s="52">
        <f t="shared" si="1"/>
        <v>3</v>
      </c>
      <c r="D15" s="9">
        <f t="shared" si="2"/>
        <v>2021</v>
      </c>
      <c r="E15" s="51">
        <f t="shared" si="3"/>
        <v>795.67500000000007</v>
      </c>
      <c r="F15" s="50">
        <f t="shared" si="0"/>
        <v>9548.1</v>
      </c>
      <c r="G15" s="9"/>
      <c r="H15" s="52" t="s">
        <v>33</v>
      </c>
      <c r="I15" s="9"/>
      <c r="J15" s="67"/>
      <c r="K15" s="9"/>
      <c r="L15" s="97"/>
      <c r="M15" s="58"/>
    </row>
    <row r="16" spans="2:16" x14ac:dyDescent="0.2">
      <c r="B16" s="53"/>
      <c r="C16" s="52">
        <f t="shared" si="1"/>
        <v>4</v>
      </c>
      <c r="D16" s="9">
        <f t="shared" si="2"/>
        <v>2022</v>
      </c>
      <c r="E16" s="51">
        <f t="shared" si="3"/>
        <v>819.54525000000012</v>
      </c>
      <c r="F16" s="50">
        <f t="shared" si="0"/>
        <v>9834.5430000000015</v>
      </c>
      <c r="G16" s="9"/>
      <c r="H16" s="52" t="s">
        <v>32</v>
      </c>
      <c r="I16" s="9"/>
      <c r="J16" s="67"/>
      <c r="K16" s="9"/>
      <c r="L16" s="97"/>
      <c r="M16" s="58"/>
    </row>
    <row r="17" spans="2:15" x14ac:dyDescent="0.2">
      <c r="B17" s="53"/>
      <c r="C17" s="52">
        <f t="shared" si="1"/>
        <v>5</v>
      </c>
      <c r="D17" s="9">
        <f t="shared" si="2"/>
        <v>2023</v>
      </c>
      <c r="E17" s="51">
        <f t="shared" si="3"/>
        <v>844.1316075000002</v>
      </c>
      <c r="F17" s="50">
        <f t="shared" si="0"/>
        <v>10129.579290000001</v>
      </c>
      <c r="G17" s="9"/>
      <c r="H17" s="64" t="s">
        <v>31</v>
      </c>
      <c r="I17" s="9"/>
      <c r="J17" s="67"/>
      <c r="K17" s="9"/>
      <c r="L17" s="97"/>
      <c r="M17" s="58"/>
    </row>
    <row r="18" spans="2:15" x14ac:dyDescent="0.2">
      <c r="B18" s="53"/>
      <c r="C18" s="52">
        <f t="shared" si="1"/>
        <v>6</v>
      </c>
      <c r="D18" s="9">
        <f t="shared" si="2"/>
        <v>2024</v>
      </c>
      <c r="E18" s="51">
        <f t="shared" si="3"/>
        <v>869.45555572500018</v>
      </c>
      <c r="F18" s="50">
        <f t="shared" si="0"/>
        <v>10433.466668700003</v>
      </c>
      <c r="G18" s="9"/>
      <c r="H18" s="64" t="s">
        <v>30</v>
      </c>
      <c r="I18" s="9"/>
      <c r="J18" s="67"/>
      <c r="K18" s="9"/>
      <c r="L18" s="96"/>
      <c r="M18" s="58"/>
    </row>
    <row r="19" spans="2:15" x14ac:dyDescent="0.2">
      <c r="B19" s="53"/>
      <c r="C19" s="52">
        <f t="shared" si="1"/>
        <v>7</v>
      </c>
      <c r="D19" s="9">
        <f t="shared" si="2"/>
        <v>2025</v>
      </c>
      <c r="E19" s="51">
        <f t="shared" si="3"/>
        <v>895.53922239675023</v>
      </c>
      <c r="F19" s="50">
        <f t="shared" si="0"/>
        <v>10746.470668761003</v>
      </c>
      <c r="G19" s="9"/>
      <c r="H19" s="64" t="s">
        <v>29</v>
      </c>
      <c r="I19" s="9"/>
      <c r="J19" s="9"/>
      <c r="K19" s="9"/>
      <c r="L19" s="65"/>
      <c r="M19" s="58"/>
    </row>
    <row r="20" spans="2:15" x14ac:dyDescent="0.2">
      <c r="B20" s="53"/>
      <c r="C20" s="52">
        <f t="shared" si="1"/>
        <v>8</v>
      </c>
      <c r="D20" s="9">
        <f t="shared" si="2"/>
        <v>2026</v>
      </c>
      <c r="E20" s="51">
        <f t="shared" si="3"/>
        <v>922.40539906865274</v>
      </c>
      <c r="F20" s="50">
        <f t="shared" si="0"/>
        <v>11068.864788823834</v>
      </c>
      <c r="G20" s="9"/>
      <c r="H20" s="95"/>
      <c r="I20" s="9"/>
      <c r="J20" s="9"/>
      <c r="K20" s="9"/>
      <c r="L20" s="60"/>
      <c r="M20" s="58"/>
    </row>
    <row r="21" spans="2:15" x14ac:dyDescent="0.2">
      <c r="B21" s="53"/>
      <c r="C21" s="52">
        <f t="shared" si="1"/>
        <v>9</v>
      </c>
      <c r="D21" s="9">
        <f t="shared" si="2"/>
        <v>2027</v>
      </c>
      <c r="E21" s="51">
        <f t="shared" si="3"/>
        <v>950.07756104071234</v>
      </c>
      <c r="F21" s="50">
        <f t="shared" si="0"/>
        <v>11400.930732488549</v>
      </c>
      <c r="G21" s="9"/>
      <c r="H21" s="94" t="s">
        <v>28</v>
      </c>
      <c r="I21" s="93"/>
      <c r="J21" s="56"/>
      <c r="K21" s="92"/>
      <c r="L21" s="166">
        <f>L9/J13</f>
        <v>9.7964106550085736E-2</v>
      </c>
      <c r="M21" s="58"/>
    </row>
    <row r="22" spans="2:15" x14ac:dyDescent="0.2">
      <c r="B22" s="53"/>
      <c r="C22" s="52">
        <f t="shared" si="1"/>
        <v>10</v>
      </c>
      <c r="D22" s="9">
        <f t="shared" si="2"/>
        <v>2028</v>
      </c>
      <c r="E22" s="51">
        <f t="shared" si="3"/>
        <v>978.57988787193369</v>
      </c>
      <c r="F22" s="50">
        <f t="shared" si="0"/>
        <v>11742.958654463204</v>
      </c>
      <c r="G22" s="9"/>
      <c r="H22" s="91" t="s">
        <v>27</v>
      </c>
      <c r="I22" s="90"/>
      <c r="J22" s="89"/>
      <c r="K22" s="14"/>
      <c r="L22" s="88">
        <f>E7/J13</f>
        <v>6.9852397318235754E-2</v>
      </c>
      <c r="M22" s="58"/>
    </row>
    <row r="23" spans="2:15" x14ac:dyDescent="0.2">
      <c r="B23" s="53"/>
      <c r="C23" s="52">
        <f t="shared" si="1"/>
        <v>11</v>
      </c>
      <c r="D23" s="9">
        <f t="shared" si="2"/>
        <v>2029</v>
      </c>
      <c r="E23" s="51">
        <f t="shared" si="3"/>
        <v>1007.9372845080917</v>
      </c>
      <c r="F23" s="50">
        <f t="shared" si="0"/>
        <v>12095.247414097101</v>
      </c>
      <c r="G23" s="9"/>
      <c r="H23" s="12"/>
      <c r="I23" s="12"/>
      <c r="J23" s="12"/>
      <c r="K23" s="67"/>
      <c r="L23" s="87"/>
      <c r="M23" s="58"/>
    </row>
    <row r="24" spans="2:15" x14ac:dyDescent="0.2">
      <c r="B24" s="53"/>
      <c r="C24" s="52">
        <f t="shared" si="1"/>
        <v>12</v>
      </c>
      <c r="D24" s="9">
        <f t="shared" si="2"/>
        <v>2030</v>
      </c>
      <c r="E24" s="51">
        <f t="shared" si="3"/>
        <v>1038.1754030433344</v>
      </c>
      <c r="F24" s="50">
        <f t="shared" si="0"/>
        <v>12458.104836520013</v>
      </c>
      <c r="G24" s="9"/>
      <c r="H24" s="85" t="s">
        <v>26</v>
      </c>
      <c r="I24" s="84"/>
      <c r="J24" s="84"/>
      <c r="K24" s="86"/>
      <c r="L24" s="173">
        <v>6000</v>
      </c>
      <c r="M24" s="58"/>
    </row>
    <row r="25" spans="2:15" x14ac:dyDescent="0.2">
      <c r="B25" s="53"/>
      <c r="C25" s="52">
        <f t="shared" si="1"/>
        <v>13</v>
      </c>
      <c r="D25" s="9">
        <f t="shared" si="2"/>
        <v>2031</v>
      </c>
      <c r="E25" s="51">
        <f t="shared" si="3"/>
        <v>1069.3206651346345</v>
      </c>
      <c r="F25" s="50">
        <f t="shared" si="0"/>
        <v>12831.847981615614</v>
      </c>
      <c r="G25" s="9"/>
      <c r="H25" s="85" t="s">
        <v>25</v>
      </c>
      <c r="I25" s="84"/>
      <c r="J25" s="84"/>
      <c r="K25" s="83"/>
      <c r="L25" s="54"/>
      <c r="M25" s="58"/>
    </row>
    <row r="26" spans="2:15" x14ac:dyDescent="0.2">
      <c r="B26" s="53"/>
      <c r="C26" s="52">
        <f t="shared" si="1"/>
        <v>14</v>
      </c>
      <c r="D26" s="9">
        <f t="shared" si="2"/>
        <v>2032</v>
      </c>
      <c r="E26" s="51">
        <f t="shared" si="3"/>
        <v>1101.4002850886736</v>
      </c>
      <c r="F26" s="50">
        <f t="shared" si="0"/>
        <v>13216.803421064084</v>
      </c>
      <c r="G26" s="9"/>
      <c r="H26" s="82"/>
      <c r="I26" s="81" t="s">
        <v>24</v>
      </c>
      <c r="J26" s="81" t="s">
        <v>23</v>
      </c>
      <c r="K26" s="80" t="s">
        <v>22</v>
      </c>
      <c r="L26" s="79" t="s">
        <v>21</v>
      </c>
      <c r="M26" s="58"/>
      <c r="N26" s="2"/>
    </row>
    <row r="27" spans="2:15" x14ac:dyDescent="0.2">
      <c r="B27" s="53"/>
      <c r="C27" s="52">
        <f t="shared" si="1"/>
        <v>15</v>
      </c>
      <c r="D27" s="9">
        <f t="shared" si="2"/>
        <v>2033</v>
      </c>
      <c r="E27" s="51">
        <f t="shared" si="3"/>
        <v>1134.4422936413339</v>
      </c>
      <c r="F27" s="50">
        <f t="shared" si="0"/>
        <v>13613.307523696007</v>
      </c>
      <c r="G27" s="9"/>
      <c r="H27" s="78" t="s">
        <v>20</v>
      </c>
      <c r="I27" s="77" t="s">
        <v>19</v>
      </c>
      <c r="J27" s="77" t="s">
        <v>18</v>
      </c>
      <c r="K27" s="76" t="s">
        <v>17</v>
      </c>
      <c r="L27" s="75" t="s">
        <v>16</v>
      </c>
      <c r="M27" s="58"/>
      <c r="N27" s="2"/>
      <c r="O27" s="74"/>
    </row>
    <row r="28" spans="2:15" x14ac:dyDescent="0.2">
      <c r="B28" s="53"/>
      <c r="C28" s="52">
        <f t="shared" si="1"/>
        <v>16</v>
      </c>
      <c r="D28" s="9">
        <f t="shared" si="2"/>
        <v>2034</v>
      </c>
      <c r="E28" s="51">
        <f t="shared" si="3"/>
        <v>1168.475562450574</v>
      </c>
      <c r="F28" s="50">
        <f t="shared" si="0"/>
        <v>14021.706749406887</v>
      </c>
      <c r="G28" s="9"/>
      <c r="H28" s="171">
        <v>0</v>
      </c>
      <c r="I28" s="73">
        <f>IF(J$13&gt;H29,1000000,J$13-H28)</f>
        <v>128843.10840467675</v>
      </c>
      <c r="J28" s="73">
        <f t="shared" ref="J28:J31" si="4">IF(I28&gt;0,I28,0)</f>
        <v>128843.10840467675</v>
      </c>
      <c r="K28" s="172">
        <v>0.06</v>
      </c>
      <c r="L28" s="167">
        <f t="shared" ref="L28:L32" si="5">+J28*K28</f>
        <v>7730.5865042806045</v>
      </c>
      <c r="M28" s="24"/>
      <c r="N28" s="2"/>
    </row>
    <row r="29" spans="2:15" x14ac:dyDescent="0.2">
      <c r="B29" s="53"/>
      <c r="C29" s="52">
        <f t="shared" si="1"/>
        <v>17</v>
      </c>
      <c r="D29" s="9">
        <f t="shared" si="2"/>
        <v>2035</v>
      </c>
      <c r="E29" s="51">
        <f t="shared" si="3"/>
        <v>1203.5298293240912</v>
      </c>
      <c r="F29" s="50">
        <f t="shared" si="0"/>
        <v>14442.357951889095</v>
      </c>
      <c r="G29" s="9"/>
      <c r="H29" s="171">
        <v>1000000</v>
      </c>
      <c r="I29" s="72">
        <f>IF(J$13&gt;H30,1000000,J$13-H29)</f>
        <v>-871156.89159532322</v>
      </c>
      <c r="J29" s="72">
        <f t="shared" si="4"/>
        <v>0</v>
      </c>
      <c r="K29" s="172">
        <f>+K28-1%</f>
        <v>4.9999999999999996E-2</v>
      </c>
      <c r="L29" s="168">
        <f t="shared" si="5"/>
        <v>0</v>
      </c>
      <c r="M29" s="24"/>
    </row>
    <row r="30" spans="2:15" x14ac:dyDescent="0.2">
      <c r="B30" s="53"/>
      <c r="C30" s="52">
        <f t="shared" si="1"/>
        <v>18</v>
      </c>
      <c r="D30" s="9">
        <f t="shared" si="2"/>
        <v>2036</v>
      </c>
      <c r="E30" s="51">
        <f t="shared" si="3"/>
        <v>1239.6357242038141</v>
      </c>
      <c r="F30" s="50">
        <f t="shared" si="0"/>
        <v>14875.62869044577</v>
      </c>
      <c r="G30" s="9"/>
      <c r="H30" s="171">
        <v>2000000</v>
      </c>
      <c r="I30" s="72">
        <f>IF(J$13&gt;H31,1000000,J$13-H30)</f>
        <v>-1871156.8915953233</v>
      </c>
      <c r="J30" s="72">
        <f t="shared" si="4"/>
        <v>0</v>
      </c>
      <c r="K30" s="172">
        <f>+K29-1%</f>
        <v>3.9999999999999994E-2</v>
      </c>
      <c r="L30" s="168">
        <f t="shared" si="5"/>
        <v>0</v>
      </c>
      <c r="M30" s="24"/>
    </row>
    <row r="31" spans="2:15" x14ac:dyDescent="0.2">
      <c r="B31" s="53"/>
      <c r="C31" s="52">
        <f t="shared" si="1"/>
        <v>19</v>
      </c>
      <c r="D31" s="9">
        <f t="shared" si="2"/>
        <v>2037</v>
      </c>
      <c r="E31" s="51">
        <f t="shared" si="3"/>
        <v>1276.8247959299285</v>
      </c>
      <c r="F31" s="50">
        <f t="shared" si="0"/>
        <v>15321.897551159142</v>
      </c>
      <c r="G31" s="9"/>
      <c r="H31" s="171">
        <v>3000000</v>
      </c>
      <c r="I31" s="72">
        <f>IF(J$13&gt;H32,1000000,J$13-H31)</f>
        <v>-2871156.8915953231</v>
      </c>
      <c r="J31" s="72">
        <f t="shared" si="4"/>
        <v>0</v>
      </c>
      <c r="K31" s="172">
        <f>+K30-1%</f>
        <v>2.9999999999999992E-2</v>
      </c>
      <c r="L31" s="168">
        <f t="shared" si="5"/>
        <v>0</v>
      </c>
      <c r="M31" s="24"/>
    </row>
    <row r="32" spans="2:15" x14ac:dyDescent="0.2">
      <c r="B32" s="53"/>
      <c r="C32" s="52">
        <f t="shared" si="1"/>
        <v>20</v>
      </c>
      <c r="D32" s="9">
        <f t="shared" si="2"/>
        <v>2038</v>
      </c>
      <c r="E32" s="51">
        <f t="shared" si="3"/>
        <v>1315.1295398078264</v>
      </c>
      <c r="F32" s="50">
        <f t="shared" si="0"/>
        <v>15781.554477693917</v>
      </c>
      <c r="G32" s="9"/>
      <c r="H32" s="171">
        <v>4000000</v>
      </c>
      <c r="I32" s="72">
        <f>IF(J$13&gt;4000000,J$13-H32,0)</f>
        <v>0</v>
      </c>
      <c r="J32" s="72">
        <f>IF(I32&gt;0,I32,0)</f>
        <v>0</v>
      </c>
      <c r="K32" s="172">
        <f>+K31-1%</f>
        <v>1.999999999999999E-2</v>
      </c>
      <c r="L32" s="168">
        <f t="shared" si="5"/>
        <v>0</v>
      </c>
      <c r="M32" s="24"/>
    </row>
    <row r="33" spans="2:14" x14ac:dyDescent="0.2">
      <c r="B33" s="53"/>
      <c r="C33" s="52">
        <f t="shared" si="1"/>
        <v>21</v>
      </c>
      <c r="D33" s="9">
        <f t="shared" si="2"/>
        <v>2039</v>
      </c>
      <c r="E33" s="51">
        <f t="shared" si="3"/>
        <v>1354.5834260020613</v>
      </c>
      <c r="F33" s="50">
        <f t="shared" si="0"/>
        <v>16255.001112024736</v>
      </c>
      <c r="G33" s="9"/>
      <c r="H33" s="71" t="s">
        <v>15</v>
      </c>
      <c r="I33" s="70"/>
      <c r="J33" s="70"/>
      <c r="K33" s="69"/>
      <c r="L33" s="4">
        <f>SUM(L28:L32)</f>
        <v>7730.5865042806045</v>
      </c>
      <c r="M33" s="58"/>
    </row>
    <row r="34" spans="2:14" x14ac:dyDescent="0.2">
      <c r="B34" s="53"/>
      <c r="C34" s="52">
        <f t="shared" si="1"/>
        <v>22</v>
      </c>
      <c r="D34" s="9">
        <f t="shared" si="2"/>
        <v>2040</v>
      </c>
      <c r="E34" s="51">
        <f t="shared" si="3"/>
        <v>1395.2209287821231</v>
      </c>
      <c r="F34" s="50">
        <f t="shared" si="0"/>
        <v>16742.651145385476</v>
      </c>
      <c r="G34" s="9"/>
      <c r="H34" s="68"/>
      <c r="I34" s="9"/>
      <c r="J34" s="67"/>
      <c r="K34" s="9"/>
      <c r="L34" s="66"/>
      <c r="M34" s="58"/>
    </row>
    <row r="35" spans="2:14" x14ac:dyDescent="0.2">
      <c r="B35" s="53"/>
      <c r="C35" s="52">
        <f t="shared" si="1"/>
        <v>23</v>
      </c>
      <c r="D35" s="9">
        <f t="shared" si="2"/>
        <v>2041</v>
      </c>
      <c r="E35" s="51">
        <f t="shared" si="3"/>
        <v>1437.0775566455868</v>
      </c>
      <c r="F35" s="50">
        <f t="shared" si="0"/>
        <v>17244.930679747042</v>
      </c>
      <c r="G35" s="9"/>
      <c r="H35" s="64" t="s">
        <v>14</v>
      </c>
      <c r="I35" s="9"/>
      <c r="J35" s="12"/>
      <c r="K35" s="11"/>
      <c r="L35" s="65"/>
      <c r="M35" s="58"/>
    </row>
    <row r="36" spans="2:14" x14ac:dyDescent="0.2">
      <c r="B36" s="53"/>
      <c r="C36" s="52">
        <f t="shared" si="1"/>
        <v>24</v>
      </c>
      <c r="D36" s="9">
        <f t="shared" si="2"/>
        <v>2042</v>
      </c>
      <c r="E36" s="51">
        <f t="shared" si="3"/>
        <v>1480.1898833449545</v>
      </c>
      <c r="F36" s="50">
        <f t="shared" si="0"/>
        <v>17762.278600139456</v>
      </c>
      <c r="G36" s="9"/>
      <c r="H36" s="64" t="s">
        <v>13</v>
      </c>
      <c r="I36" s="63"/>
      <c r="J36" s="62"/>
      <c r="K36" s="61"/>
      <c r="L36" s="60"/>
      <c r="M36" s="58"/>
    </row>
    <row r="37" spans="2:14" x14ac:dyDescent="0.2">
      <c r="B37" s="53"/>
      <c r="C37" s="52">
        <f t="shared" si="1"/>
        <v>25</v>
      </c>
      <c r="D37" s="9">
        <f t="shared" si="2"/>
        <v>2043</v>
      </c>
      <c r="E37" s="51">
        <f t="shared" si="3"/>
        <v>1524.5955798453033</v>
      </c>
      <c r="F37" s="50">
        <f t="shared" si="0"/>
        <v>18295.146958143639</v>
      </c>
      <c r="G37" s="9"/>
      <c r="H37" s="127" t="s">
        <v>12</v>
      </c>
      <c r="I37" s="155"/>
      <c r="J37" s="156"/>
      <c r="K37" s="157"/>
      <c r="L37" s="4">
        <f>IF(L33&gt;6000, L33, 6000)</f>
        <v>7730.5865042806045</v>
      </c>
      <c r="M37" s="58"/>
    </row>
    <row r="38" spans="2:14" x14ac:dyDescent="0.2">
      <c r="B38" s="53"/>
      <c r="C38" s="52">
        <f t="shared" si="1"/>
        <v>26</v>
      </c>
      <c r="D38" s="9">
        <f t="shared" si="2"/>
        <v>2044</v>
      </c>
      <c r="E38" s="51">
        <f t="shared" si="3"/>
        <v>1570.3334472406625</v>
      </c>
      <c r="F38" s="50">
        <f t="shared" si="0"/>
        <v>18844.001366887951</v>
      </c>
      <c r="G38" s="9"/>
      <c r="M38" s="58"/>
    </row>
    <row r="39" spans="2:14" x14ac:dyDescent="0.2">
      <c r="B39" s="53"/>
      <c r="C39" s="52">
        <f t="shared" si="1"/>
        <v>27</v>
      </c>
      <c r="D39" s="9">
        <f t="shared" si="2"/>
        <v>2045</v>
      </c>
      <c r="E39" s="51">
        <f t="shared" si="3"/>
        <v>1617.4434506578825</v>
      </c>
      <c r="F39" s="50">
        <f t="shared" si="0"/>
        <v>19409.321407894589</v>
      </c>
      <c r="G39" s="9"/>
      <c r="H39" s="158"/>
      <c r="I39" s="159"/>
      <c r="J39" s="159"/>
      <c r="K39" s="159"/>
      <c r="L39" s="159"/>
      <c r="M39" s="58"/>
    </row>
    <row r="40" spans="2:14" ht="17.25" customHeight="1" x14ac:dyDescent="0.2">
      <c r="B40" s="53"/>
      <c r="C40" s="52">
        <f t="shared" si="1"/>
        <v>28</v>
      </c>
      <c r="D40" s="9">
        <f t="shared" si="2"/>
        <v>2046</v>
      </c>
      <c r="E40" s="51">
        <f t="shared" si="3"/>
        <v>1665.9667541776191</v>
      </c>
      <c r="F40" s="50">
        <f t="shared" si="0"/>
        <v>19991.60105013143</v>
      </c>
      <c r="G40" s="9"/>
      <c r="H40" s="57" t="s">
        <v>11</v>
      </c>
      <c r="I40" s="56"/>
      <c r="J40" s="55"/>
      <c r="K40" s="55"/>
      <c r="L40" s="54"/>
      <c r="M40" s="35"/>
    </row>
    <row r="41" spans="2:14" s="7" customFormat="1" x14ac:dyDescent="0.2">
      <c r="B41" s="53"/>
      <c r="C41" s="52">
        <f t="shared" si="1"/>
        <v>29</v>
      </c>
      <c r="D41" s="9">
        <f t="shared" si="2"/>
        <v>2047</v>
      </c>
      <c r="E41" s="51">
        <f t="shared" si="3"/>
        <v>1715.9457568029477</v>
      </c>
      <c r="F41" s="50">
        <f t="shared" si="0"/>
        <v>20591.349081635373</v>
      </c>
      <c r="G41" s="9"/>
      <c r="H41" s="49" t="s">
        <v>10</v>
      </c>
      <c r="I41" s="48"/>
      <c r="J41" s="47"/>
      <c r="K41" s="46"/>
      <c r="L41" s="45"/>
      <c r="M41" s="35"/>
    </row>
    <row r="42" spans="2:14" s="7" customFormat="1" x14ac:dyDescent="0.2">
      <c r="B42" s="44"/>
      <c r="C42" s="43">
        <f t="shared" si="1"/>
        <v>30</v>
      </c>
      <c r="D42" s="9">
        <f t="shared" si="2"/>
        <v>2048</v>
      </c>
      <c r="E42" s="42">
        <f t="shared" si="3"/>
        <v>1767.4241295070362</v>
      </c>
      <c r="F42" s="41">
        <f t="shared" si="0"/>
        <v>21209.089554084436</v>
      </c>
      <c r="G42" s="9"/>
      <c r="H42" s="40" t="s">
        <v>9</v>
      </c>
      <c r="I42" s="39"/>
      <c r="J42" s="38"/>
      <c r="K42" s="37"/>
      <c r="L42" s="36"/>
      <c r="M42" s="35"/>
    </row>
    <row r="43" spans="2:14" s="7" customFormat="1" x14ac:dyDescent="0.2">
      <c r="B43" s="34"/>
      <c r="C43" s="33" t="s">
        <v>8</v>
      </c>
      <c r="D43" s="32"/>
      <c r="E43" s="31"/>
      <c r="F43" s="30">
        <f>SUM(F13:F42)</f>
        <v>428178.74135689833</v>
      </c>
      <c r="G43" s="11"/>
      <c r="H43" s="29" t="s">
        <v>7</v>
      </c>
      <c r="I43" s="28"/>
      <c r="J43" s="27"/>
      <c r="K43" s="26"/>
      <c r="L43" s="25"/>
      <c r="M43" s="24"/>
    </row>
    <row r="44" spans="2:14" x14ac:dyDescent="0.2">
      <c r="B44" s="23"/>
      <c r="C44" s="22" t="s">
        <v>6</v>
      </c>
      <c r="D44" s="22"/>
      <c r="E44" s="21"/>
      <c r="F44" s="5">
        <f>+F43+L9</f>
        <v>440800.74135689833</v>
      </c>
      <c r="G44" s="20"/>
      <c r="H44" s="19" t="s">
        <v>5</v>
      </c>
      <c r="I44" s="18"/>
      <c r="J44" s="17"/>
      <c r="K44" s="16"/>
      <c r="L44" s="15"/>
      <c r="M44" s="14"/>
      <c r="N44" s="8"/>
    </row>
    <row r="45" spans="2:14" ht="16" thickBot="1" x14ac:dyDescent="0.25">
      <c r="B45" s="7"/>
      <c r="C45" s="11"/>
      <c r="D45" s="11"/>
      <c r="E45" s="13"/>
      <c r="F45" s="12"/>
      <c r="G45" s="11"/>
      <c r="H45" s="11"/>
      <c r="I45" s="11"/>
      <c r="J45" s="11"/>
      <c r="K45" s="10"/>
      <c r="L45" s="9"/>
      <c r="N45" s="8"/>
    </row>
    <row r="46" spans="2:14" x14ac:dyDescent="0.2">
      <c r="B46" s="7"/>
      <c r="C46" s="174" t="s">
        <v>63</v>
      </c>
    </row>
    <row r="47" spans="2:14" x14ac:dyDescent="0.2">
      <c r="C47" s="185" t="s">
        <v>4</v>
      </c>
      <c r="D47" s="1" t="s">
        <v>56</v>
      </c>
    </row>
    <row r="48" spans="2:14" x14ac:dyDescent="0.2">
      <c r="C48" s="175" t="s">
        <v>3</v>
      </c>
      <c r="D48" s="1" t="s">
        <v>59</v>
      </c>
    </row>
    <row r="49" spans="3:4" x14ac:dyDescent="0.2">
      <c r="C49" s="176" t="s">
        <v>62</v>
      </c>
      <c r="D49" s="1" t="s">
        <v>60</v>
      </c>
    </row>
    <row r="50" spans="3:4" x14ac:dyDescent="0.2">
      <c r="C50" s="177" t="s">
        <v>2</v>
      </c>
      <c r="D50" s="3" t="s">
        <v>61</v>
      </c>
    </row>
    <row r="51" spans="3:4" ht="16" thickBot="1" x14ac:dyDescent="0.25">
      <c r="C51" s="186" t="s">
        <v>1</v>
      </c>
      <c r="D51" s="3" t="s">
        <v>58</v>
      </c>
    </row>
  </sheetData>
  <mergeCells count="3">
    <mergeCell ref="J2:L3"/>
    <mergeCell ref="I4:J4"/>
    <mergeCell ref="K4:L4"/>
  </mergeCells>
  <pageMargins left="0.7" right="0.7" top="0.75" bottom="0.75" header="0.3" footer="0.3"/>
  <pageSetup scale="6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&lt;&lt;Offeror&gt;&gt;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Microsoft Office User</cp:lastModifiedBy>
  <cp:lastPrinted>2019-09-13T13:33:41Z</cp:lastPrinted>
  <dcterms:created xsi:type="dcterms:W3CDTF">2015-11-10T16:29:30Z</dcterms:created>
  <dcterms:modified xsi:type="dcterms:W3CDTF">2019-09-13T14:53:45Z</dcterms:modified>
</cp:coreProperties>
</file>